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y Drive\CBF Files\"/>
    </mc:Choice>
  </mc:AlternateContent>
  <xr:revisionPtr revIDLastSave="0" documentId="13_ncr:1_{2F8D3A5F-9D17-4831-9B58-7B431C4D7653}" xr6:coauthVersionLast="47" xr6:coauthVersionMax="47" xr10:uidLastSave="{00000000-0000-0000-0000-000000000000}"/>
  <bookViews>
    <workbookView xWindow="-108" yWindow="-108" windowWidth="21336" windowHeight="11376" xr2:uid="{00000000-000D-0000-FFFF-FFFF00000000}"/>
  </bookViews>
  <sheets>
    <sheet name="Dashboard" sheetId="1" r:id="rId1"/>
    <sheet name="Monthly Tracker" sheetId="2" r:id="rId2"/>
    <sheet name="Benchmark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2" l="1"/>
  <c r="L7" i="2"/>
  <c r="M7" i="2" s="1"/>
  <c r="Q7" i="2" s="1"/>
  <c r="L8" i="2"/>
  <c r="M8" i="2" s="1"/>
  <c r="Q8" i="2" s="1"/>
  <c r="L9" i="2"/>
  <c r="L10" i="2"/>
  <c r="L11" i="2"/>
  <c r="L12" i="2"/>
  <c r="M12" i="2" s="1"/>
  <c r="Q12" i="2" s="1"/>
  <c r="L13" i="2"/>
  <c r="M13" i="2" s="1"/>
  <c r="Q13" i="2" s="1"/>
  <c r="L14" i="2"/>
  <c r="P14" i="2" s="1"/>
  <c r="D24" i="1" s="1"/>
  <c r="L15" i="2"/>
  <c r="M15" i="2" s="1"/>
  <c r="Q15" i="2" s="1"/>
  <c r="L16" i="2"/>
  <c r="L5" i="2"/>
  <c r="O6" i="2"/>
  <c r="O7" i="2"/>
  <c r="O8" i="2"/>
  <c r="O9" i="2"/>
  <c r="O10" i="2"/>
  <c r="O11" i="2"/>
  <c r="O12" i="2"/>
  <c r="O13" i="2"/>
  <c r="O14" i="2"/>
  <c r="O15" i="2"/>
  <c r="O16" i="2"/>
  <c r="P16" i="2" s="1"/>
  <c r="D26" i="1" s="1"/>
  <c r="O5" i="2"/>
  <c r="N6" i="2"/>
  <c r="N7" i="2"/>
  <c r="N8" i="2"/>
  <c r="N9" i="2"/>
  <c r="N10" i="2"/>
  <c r="N11" i="2"/>
  <c r="N12" i="2"/>
  <c r="N13" i="2"/>
  <c r="N14" i="2"/>
  <c r="N15" i="2"/>
  <c r="N16" i="2"/>
  <c r="N5" i="2"/>
  <c r="N17" i="2" s="1"/>
  <c r="M6" i="2"/>
  <c r="M9" i="2"/>
  <c r="Q9" i="2" s="1"/>
  <c r="M10" i="2"/>
  <c r="M11" i="2"/>
  <c r="M16" i="2"/>
  <c r="M5" i="2"/>
  <c r="Q5" i="2"/>
  <c r="I6" i="2"/>
  <c r="I7" i="2"/>
  <c r="I17" i="2" s="1"/>
  <c r="I8" i="2"/>
  <c r="I9" i="2"/>
  <c r="J9" i="2" s="1"/>
  <c r="C19" i="1" s="1"/>
  <c r="I10" i="2"/>
  <c r="I11" i="2"/>
  <c r="I12" i="2"/>
  <c r="I13" i="2"/>
  <c r="I14" i="2"/>
  <c r="J14" i="2" s="1"/>
  <c r="C24" i="1" s="1"/>
  <c r="I15" i="2"/>
  <c r="I16" i="2"/>
  <c r="J16" i="2" s="1"/>
  <c r="C26" i="1" s="1"/>
  <c r="I5" i="2"/>
  <c r="J5" i="2" s="1"/>
  <c r="C15" i="1" s="1"/>
  <c r="H6" i="2"/>
  <c r="H7" i="2"/>
  <c r="H8" i="2"/>
  <c r="H9" i="2"/>
  <c r="H10" i="2"/>
  <c r="H11" i="2"/>
  <c r="H17" i="2" s="1"/>
  <c r="H12" i="2"/>
  <c r="K12" i="2" s="1"/>
  <c r="H13" i="2"/>
  <c r="K13" i="2" s="1"/>
  <c r="H14" i="2"/>
  <c r="H15" i="2"/>
  <c r="H16" i="2"/>
  <c r="H5" i="2"/>
  <c r="G6" i="2"/>
  <c r="K6" i="2" s="1"/>
  <c r="G7" i="2"/>
  <c r="K7" i="2" s="1"/>
  <c r="G8" i="2"/>
  <c r="J8" i="2" s="1"/>
  <c r="C18" i="1" s="1"/>
  <c r="G9" i="2"/>
  <c r="G10" i="2"/>
  <c r="G11" i="2"/>
  <c r="G12" i="2"/>
  <c r="G13" i="2"/>
  <c r="G14" i="2"/>
  <c r="G15" i="2"/>
  <c r="K15" i="2" s="1"/>
  <c r="G16" i="2"/>
  <c r="K16" i="2" s="1"/>
  <c r="G5" i="2"/>
  <c r="C9" i="2"/>
  <c r="C10" i="2"/>
  <c r="C11" i="2"/>
  <c r="C12" i="2"/>
  <c r="C8" i="2"/>
  <c r="F8" i="2" s="1"/>
  <c r="D6" i="2"/>
  <c r="D7" i="2"/>
  <c r="D9" i="2"/>
  <c r="D10" i="2"/>
  <c r="E10" i="2" s="1"/>
  <c r="B20" i="1" s="1"/>
  <c r="D11" i="2"/>
  <c r="E11" i="2" s="1"/>
  <c r="B21" i="1" s="1"/>
  <c r="D12" i="2"/>
  <c r="E12" i="2" s="1"/>
  <c r="B22" i="1" s="1"/>
  <c r="D13" i="2"/>
  <c r="D14" i="2"/>
  <c r="E14" i="2" s="1"/>
  <c r="B24" i="1" s="1"/>
  <c r="D15" i="2"/>
  <c r="D16" i="2"/>
  <c r="E16" i="2" s="1"/>
  <c r="B26" i="1" s="1"/>
  <c r="D5" i="2"/>
  <c r="C6" i="2"/>
  <c r="C7" i="2"/>
  <c r="C13" i="2"/>
  <c r="C14" i="2"/>
  <c r="C15" i="2"/>
  <c r="C16" i="2"/>
  <c r="F16" i="2" s="1"/>
  <c r="C5" i="2"/>
  <c r="C17" i="2"/>
  <c r="B17" i="2"/>
  <c r="F15" i="2"/>
  <c r="E15" i="2"/>
  <c r="B25" i="1" s="1"/>
  <c r="K14" i="2"/>
  <c r="F14" i="2"/>
  <c r="F13" i="2"/>
  <c r="E13" i="2"/>
  <c r="B23" i="1" s="1"/>
  <c r="J12" i="2"/>
  <c r="C22" i="1" s="1"/>
  <c r="F12" i="2"/>
  <c r="Q11" i="2"/>
  <c r="P11" i="2"/>
  <c r="K11" i="2"/>
  <c r="J11" i="2"/>
  <c r="C21" i="1" s="1"/>
  <c r="F11" i="2"/>
  <c r="Q10" i="2"/>
  <c r="P10" i="2"/>
  <c r="D20" i="1" s="1"/>
  <c r="K10" i="2"/>
  <c r="J10" i="2"/>
  <c r="C20" i="1" s="1"/>
  <c r="F10" i="2"/>
  <c r="K9" i="2"/>
  <c r="F9" i="2"/>
  <c r="E9" i="2"/>
  <c r="B19" i="1" s="1"/>
  <c r="P7" i="2"/>
  <c r="D17" i="1" s="1"/>
  <c r="F7" i="2"/>
  <c r="E7" i="2"/>
  <c r="B17" i="1" s="1"/>
  <c r="Q6" i="2"/>
  <c r="P6" i="2"/>
  <c r="D16" i="1" s="1"/>
  <c r="F6" i="2"/>
  <c r="E6" i="2"/>
  <c r="B16" i="1" s="1"/>
  <c r="F5" i="2"/>
  <c r="E5" i="2"/>
  <c r="B15" i="1" s="1"/>
  <c r="A26" i="1"/>
  <c r="A25" i="1"/>
  <c r="A24" i="1"/>
  <c r="A23" i="1"/>
  <c r="A22" i="1"/>
  <c r="D21" i="1"/>
  <c r="A21" i="1"/>
  <c r="A20" i="1"/>
  <c r="A19" i="1"/>
  <c r="A18" i="1"/>
  <c r="A17" i="1"/>
  <c r="A16" i="1"/>
  <c r="A15" i="1"/>
  <c r="P13" i="2" l="1"/>
  <c r="D23" i="1" s="1"/>
  <c r="M14" i="2"/>
  <c r="Q14" i="2" s="1"/>
  <c r="P8" i="2"/>
  <c r="D18" i="1" s="1"/>
  <c r="P12" i="2"/>
  <c r="D22" i="1" s="1"/>
  <c r="P15" i="2"/>
  <c r="D25" i="1" s="1"/>
  <c r="O17" i="2"/>
  <c r="P9" i="2"/>
  <c r="D19" i="1" s="1"/>
  <c r="P5" i="2"/>
  <c r="D15" i="1" s="1"/>
  <c r="Q16" i="2"/>
  <c r="M17" i="2"/>
  <c r="L17" i="2"/>
  <c r="P17" i="2" s="1"/>
  <c r="B7" i="1" s="1"/>
  <c r="J13" i="2"/>
  <c r="C23" i="1" s="1"/>
  <c r="J7" i="2"/>
  <c r="C17" i="1" s="1"/>
  <c r="G17" i="2"/>
  <c r="K17" i="2" s="1"/>
  <c r="B9" i="1" s="1"/>
  <c r="K8" i="2"/>
  <c r="J6" i="2"/>
  <c r="C16" i="1" s="1"/>
  <c r="J15" i="2"/>
  <c r="C25" i="1" s="1"/>
  <c r="J17" i="2"/>
  <c r="B6" i="1" s="1"/>
  <c r="K5" i="2"/>
  <c r="D8" i="2"/>
  <c r="E8" i="2" s="1"/>
  <c r="B18" i="1" s="1"/>
  <c r="F17" i="2"/>
  <c r="B8" i="1" s="1"/>
  <c r="B21" i="2" l="1"/>
  <c r="B11" i="1" s="1"/>
  <c r="Q17" i="2"/>
  <c r="B10" i="1" s="1"/>
  <c r="D17" i="2"/>
  <c r="E17" i="2" s="1"/>
  <c r="B5" i="1" s="1"/>
</calcChain>
</file>

<file path=xl/sharedStrings.xml><?xml version="1.0" encoding="utf-8"?>
<sst xmlns="http://schemas.openxmlformats.org/spreadsheetml/2006/main" count="129" uniqueCount="106">
  <si>
    <t>Metric</t>
  </si>
  <si>
    <t>Actual YTD</t>
  </si>
  <si>
    <t>Historical</t>
  </si>
  <si>
    <t>Benchmark</t>
  </si>
  <si>
    <t>Budget / Target</t>
  </si>
  <si>
    <t>How to Read It</t>
  </si>
  <si>
    <t>Interpretation</t>
  </si>
  <si>
    <t>FOH Labor %</t>
  </si>
  <si>
    <t>Actual vs Historical</t>
  </si>
  <si>
    <t>Are we improving against our own past performance?</t>
  </si>
  <si>
    <t>BOH Labor %</t>
  </si>
  <si>
    <t>Actual vs Benchmark</t>
  </si>
  <si>
    <t>Are we within a reasonable outside-industry range?</t>
  </si>
  <si>
    <t>Production Labor %</t>
  </si>
  <si>
    <t>Actual vs Budget</t>
  </si>
  <si>
    <t>Are managers delivering the staffing plan we agreed to?</t>
  </si>
  <si>
    <t>FOH Sales / Labor Hr</t>
  </si>
  <si>
    <t>% + productivity KPI</t>
  </si>
  <si>
    <t>Use both. Labor % can worsen simply because sales fell; sales/hour or hours/BBL shows operating efficiency.</t>
  </si>
  <si>
    <t>Food Sales / BOH Hr</t>
  </si>
  <si>
    <t>Monthly cadence</t>
  </si>
  <si>
    <t>Review monthly; use weekly labor scheduling reports to correct course before month-end.</t>
  </si>
  <si>
    <t>Prod Labor Hrs / BBL</t>
  </si>
  <si>
    <t>Prod Labor $ / BBL</t>
  </si>
  <si>
    <t>Month</t>
  </si>
  <si>
    <t>Brewery Labor Key Metrics Tracker</t>
  </si>
  <si>
    <t>Enter monthly sales, labor hours and labor dollars in the blue input columns. KPI columns calculate automatically.</t>
  </si>
  <si>
    <t>FOH Sales</t>
  </si>
  <si>
    <t>FOH Hours</t>
  </si>
  <si>
    <t>FOH Labor $</t>
  </si>
  <si>
    <t>FOH Sales / Hr</t>
  </si>
  <si>
    <t>Food Sales</t>
  </si>
  <si>
    <t>BOH Hours</t>
  </si>
  <si>
    <t>BOH Labor $</t>
  </si>
  <si>
    <t>Beer Revenue</t>
  </si>
  <si>
    <t>BBLs Packaged</t>
  </si>
  <si>
    <t>Production Hours</t>
  </si>
  <si>
    <t>Production Labor $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</si>
  <si>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</si>
  <si>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</si>
  <si>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</si>
  <si>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</si>
  <si>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</si>
  <si>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</si>
  <si>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</si>
  <si>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</si>
  <si>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</si>
  <si>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</si>
  <si>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</si>
  <si>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</si>
  <si>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YTD / Avg</t>
  </si>
  <si>
    <t>Production KPI</t>
  </si>
  <si>
    <t>Production Labor $ / BBL</t>
  </si>
  <si>
    <t>Brewery Labor Benchmark Guide</t>
  </si>
  <si>
    <t>Department / KPI</t>
  </si>
  <si>
    <t>Recommended Green Range</t>
  </si>
  <si>
    <t>Watch Range</t>
  </si>
  <si>
    <t>Primary Denominator</t>
  </si>
  <si>
    <t>Suggested Target</t>
  </si>
  <si>
    <t>Notes</t>
  </si>
  <si>
    <t>Source / Basis</t>
  </si>
  <si>
    <t>Source URL</t>
  </si>
  <si>
    <t>Taproom FOH labor %</t>
  </si>
  <si>
    <t>10%–20%</t>
  </si>
  <si>
    <t>20%–25%</t>
  </si>
  <si>
    <t>FOH / taproom sales</t>
  </si>
  <si>
    <t>≤20%</t>
  </si>
  <si>
    <t>Lean counter-service taprooms may target closer to 8%–12%; higher-touch service models can reasonably run higher.</t>
  </si>
  <si>
    <t>User planning assumption + brewery benchmark references</t>
  </si>
  <si>
    <t>https://www.goekos.com/blog/top-5-brewery-benchmarks/</t>
  </si>
  <si>
    <t>Kitchen / BOH labor %</t>
  </si>
  <si>
    <t>25%–35%</t>
  </si>
  <si>
    <t>35%–40%</t>
  </si>
  <si>
    <t>Food sales</t>
  </si>
  <si>
    <t>~30%</t>
  </si>
  <si>
    <t>Use food sales—not total taproom sales—as the denominator. Range is a practical planning guardrail for brewery kitchens; menu and service complexity matter.</t>
  </si>
  <si>
    <t>User planning assumption; cross-check against restaurant total-labor data</t>
  </si>
  <si>
    <t>https://restaurant.org/research-and-media/research/restaurant-economic-insights/analysis-commentary/elevated-labor-costs-had-a-significant-impact-on-restaurant-profitability-in-2024/</t>
  </si>
  <si>
    <t>Production labor %</t>
  </si>
  <si>
    <t>8%–12%</t>
  </si>
  <si>
    <t>12%–15%</t>
  </si>
  <si>
    <t>Beer revenue</t>
  </si>
  <si>
    <t>≤10%–12%</t>
  </si>
  <si>
    <t>Best for breweries with meaningful wholesale. Taproom-heavy breweries may tolerate a higher percentage because realized beer revenue per BBL is higher.</t>
  </si>
  <si>
    <t>Small Batch Standard / brewery benchmark references</t>
  </si>
  <si>
    <t>https://www.datocms-assets.com/75080/1735831231-big24_winter.pdf</t>
  </si>
  <si>
    <t>FOH sales per labor hour</t>
  </si>
  <si>
    <t>Trend upward</t>
  </si>
  <si>
    <t>Below historical</t>
  </si>
  <si>
    <t>FOH labor hours</t>
  </si>
  <si>
    <t>Set from history</t>
  </si>
  <si>
    <t>Useful scheduling metric that is less distorted by wage-rate changes than labor % alone.</t>
  </si>
  <si>
    <t>Management KPI / internal benchmark</t>
  </si>
  <si>
    <t>BOH food sales per labor hour</t>
  </si>
  <si>
    <t>BOH labor hours</t>
  </si>
  <si>
    <t>Track with kitchen labor % to distinguish scheduling efficiency from wage-rate changes.</t>
  </si>
  <si>
    <t>Production labor hours per BBL</t>
  </si>
  <si>
    <t>Trend downward</t>
  </si>
  <si>
    <t>Above historical</t>
  </si>
  <si>
    <t>BBLs packaged</t>
  </si>
  <si>
    <t>Compare to the same brewery over time because automation and package mix matter.</t>
  </si>
  <si>
    <t>Production labor $ per BBL</t>
  </si>
  <si>
    <t>Captures both labor hours and wage-rate changes.</t>
  </si>
  <si>
    <t>Compare current results to your own history, industry averages, and budget targets.</t>
  </si>
  <si>
    <t>Use benchmarks as guardrails, not absolutes. Channel mix, service model, geography, wage rates, and staffing structure can materially change the  target.</t>
  </si>
  <si>
    <t>Brewery Labor Scorecard - www.CraftBreweryFinance.com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</si>
</sst>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0.0%"/>
  </numFmts>
  <fonts count="4">
    <font>
      <sz val="11"/>
      <name val="Carlito"/>
    </font>
    <font>
      <b/>
      <sz val="16"/>
      <color rgb="FFFFFFFF"/>
      <name val="Carlito"/>
    </font>
    <font>
      <i/>
      <sz val="11"/>
      <color rgb="FF244062"/>
      <name val="Carlito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164" fontId="0" fillId="5" borderId="0" xfId="0" applyNumberFormat="1" applyFill="1"/>
    <xf numFmtId="164" fontId="0" fillId="0" borderId="0" xfId="0" applyNumberFormat="1"/>
    <xf numFmtId="165" fontId="0" fillId="0" borderId="0" xfId="0" applyNumberFormat="1"/>
    <xf numFmtId="2" fontId="0" fillId="5" borderId="0" xfId="0" applyNumberFormat="1" applyFill="1"/>
    <xf numFmtId="2" fontId="0" fillId="0" borderId="0" xfId="0" applyNumberFormat="1"/>
    <xf numFmtId="165" fontId="0" fillId="5" borderId="0" xfId="0" applyNumberFormat="1" applyFill="1"/>
    <xf numFmtId="0" fontId="0" fillId="0" borderId="0" xfId="0" applyAlignment="1">
      <alignment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wrapText="1"/>
    </xf>
    <xf numFmtId="0" fontId="0" fillId="0" borderId="0" xfId="0"/>
  </cellXfs>
  <cellStyles count="1">
    <cellStyle name="Normal" xfId="0" builtinId="0"/>
  </cellStyles>
  <dxfs count="2">
    <dxf>
      <font>
        <b/>
        <color rgb="FF274E13"/>
      </font>
      <fill>
        <patternFill patternType="solid">
          <bgColor rgb="FFD9EAD3"/>
        </patternFill>
      </fill>
    </dxf>
    <dxf>
      <font>
        <b/>
        <color rgb="FF9C0006"/>
      </font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Monthly Labor % Trend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FOH Labor %</c:v>
          </c:tx>
          <c:marker>
            <c:symbol val="none"/>
          </c:marker>
          <c:cat>
            <c:strRef>
              <c:f>Dashboard!$A$15:$A$26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Dashboard!$B$15:$B$26</c:f>
              <c:numCache>
                <c:formatCode>0.0%</c:formatCode>
                <c:ptCount val="12"/>
                <c:pt idx="0">
                  <c:v>0.24705882352941178</c:v>
                </c:pt>
                <c:pt idx="1">
                  <c:v>0.26250000000000001</c:v>
                </c:pt>
                <c:pt idx="2">
                  <c:v>0.22826086956521738</c:v>
                </c:pt>
                <c:pt idx="3">
                  <c:v>0.29473684210526313</c:v>
                </c:pt>
                <c:pt idx="4">
                  <c:v>0.25454545454545452</c:v>
                </c:pt>
                <c:pt idx="5">
                  <c:v>0.224</c:v>
                </c:pt>
                <c:pt idx="6">
                  <c:v>0.2</c:v>
                </c:pt>
                <c:pt idx="7">
                  <c:v>0.2153846153846154</c:v>
                </c:pt>
                <c:pt idx="8">
                  <c:v>0.19090909090909092</c:v>
                </c:pt>
                <c:pt idx="9">
                  <c:v>0.2</c:v>
                </c:pt>
                <c:pt idx="10">
                  <c:v>0.19811320754716982</c:v>
                </c:pt>
                <c:pt idx="11">
                  <c:v>0.17499999999999999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EEF-4C20-8023-81C08E13448E}"/>
            </c:ext>
          </c:extLst>
        </c:ser>
        <c:ser>
          <c:idx val="1"/>
          <c:order val="1"/>
          <c:tx>
            <c:v>BOH Labor %</c:v>
          </c:tx>
          <c:marker>
            <c:symbol val="none"/>
          </c:marker>
          <c:cat>
            <c:strRef>
              <c:f>Dashboard!$A$15:$A$26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Dashboard!$C$15:$C$26</c:f>
              <c:numCache>
                <c:formatCode>0.0%</c:formatCode>
                <c:ptCount val="12"/>
                <c:pt idx="0">
                  <c:v>0.40427807486631012</c:v>
                </c:pt>
                <c:pt idx="1">
                  <c:v>0.42954545454545456</c:v>
                </c:pt>
                <c:pt idx="2">
                  <c:v>0.37351778656126478</c:v>
                </c:pt>
                <c:pt idx="3">
                  <c:v>0.48229665071770328</c:v>
                </c:pt>
                <c:pt idx="4">
                  <c:v>0.41652892561983468</c:v>
                </c:pt>
                <c:pt idx="5">
                  <c:v>0.36654545454545456</c:v>
                </c:pt>
                <c:pt idx="6">
                  <c:v>0.32727272727272727</c:v>
                </c:pt>
                <c:pt idx="7">
                  <c:v>0.35244755244755244</c:v>
                </c:pt>
                <c:pt idx="8">
                  <c:v>0.31239669421487598</c:v>
                </c:pt>
                <c:pt idx="9">
                  <c:v>0.32727272727272722</c:v>
                </c:pt>
                <c:pt idx="10">
                  <c:v>0.32418524871355053</c:v>
                </c:pt>
                <c:pt idx="11">
                  <c:v>0.28636363636363638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AEEF-4C20-8023-81C08E13448E}"/>
            </c:ext>
          </c:extLst>
        </c:ser>
        <c:ser>
          <c:idx val="2"/>
          <c:order val="2"/>
          <c:tx>
            <c:v>Production Labor %</c:v>
          </c:tx>
          <c:marker>
            <c:symbol val="none"/>
          </c:marker>
          <c:cat>
            <c:strRef>
              <c:f>Dashboard!$A$15:$A$26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Dashboard!$D$15:$D$26</c:f>
              <c:numCache>
                <c:formatCode>0.0%</c:formatCode>
                <c:ptCount val="12"/>
                <c:pt idx="0">
                  <c:v>0.11294117647058824</c:v>
                </c:pt>
                <c:pt idx="1">
                  <c:v>0.12</c:v>
                </c:pt>
                <c:pt idx="2">
                  <c:v>0.10434782608695652</c:v>
                </c:pt>
                <c:pt idx="3">
                  <c:v>0.10105263157894737</c:v>
                </c:pt>
                <c:pt idx="4">
                  <c:v>8.727272727272728E-2</c:v>
                </c:pt>
                <c:pt idx="5">
                  <c:v>7.6799999999999993E-2</c:v>
                </c:pt>
                <c:pt idx="6">
                  <c:v>6.8571428571428575E-2</c:v>
                </c:pt>
                <c:pt idx="7">
                  <c:v>7.3846153846153853E-2</c:v>
                </c:pt>
                <c:pt idx="8">
                  <c:v>8.727272727272728E-2</c:v>
                </c:pt>
                <c:pt idx="9">
                  <c:v>9.1428571428571428E-2</c:v>
                </c:pt>
                <c:pt idx="10">
                  <c:v>9.056603773584905E-2</c:v>
                </c:pt>
                <c:pt idx="11">
                  <c:v>0.08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AEEF-4C20-8023-81C08E134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%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13</xdr:col>
      <xdr:colOff>0</xdr:colOff>
      <xdr:row>28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110" zoomScaleNormal="110" workbookViewId="0">
      <selection activeCell="A2" sqref="A2:H2"/>
    </sheetView>
  </sheetViews>
  <sheetFormatPr defaultRowHeight="13.8"/>
  <cols>
    <col min="1" max="1" width="25" customWidth="1"/>
    <col min="2" max="5" width="15" customWidth="1"/>
    <col min="7" max="7" width="22" customWidth="1"/>
    <col min="8" max="8" width="42" customWidth="1"/>
  </cols>
  <sheetData>
    <row r="1" spans="1:8" ht="21">
      <c r="A1" s="9" t="s">
        <v>105</v>
      </c>
      <c r="B1" s="9"/>
      <c r="C1" s="9"/>
      <c r="D1" s="9"/>
      <c r="E1" s="9"/>
      <c r="F1" s="9"/>
      <c r="G1" s="9"/>
      <c r="H1" s="9"/>
    </row>
    <row r="2" spans="1:8" ht="14.4">
      <c r="A2" s="10" t="s">
        <v>103</v>
      </c>
      <c r="B2" s="10"/>
      <c r="C2" s="10"/>
      <c r="D2" s="10"/>
      <c r="E2" s="10"/>
      <c r="F2" s="10"/>
      <c r="G2" s="10"/>
      <c r="H2" s="10"/>
    </row>
    <row r="4" spans="1:8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G4" s="1" t="s">
        <v>5</v>
      </c>
      <c r="H4" s="1" t="s">
        <v>6</v>
      </c>
    </row>
    <row r="5" spans="1:8" ht="27.6">
      <c r="A5" t="s">
        <v>7</v>
      </c>
      <c r="B5" s="4">
        <f>'Monthly Tracker'!E17</f>
        <v>0.22110939907550076</v>
      </c>
      <c r="C5" s="7">
        <v>0.215</v>
      </c>
      <c r="D5" s="4">
        <v>0.2</v>
      </c>
      <c r="E5" s="7">
        <v>0.2</v>
      </c>
      <c r="G5" t="s">
        <v>8</v>
      </c>
      <c r="H5" s="8" t="s">
        <v>9</v>
      </c>
    </row>
    <row r="6" spans="1:8" ht="27.6">
      <c r="A6" t="s">
        <v>10</v>
      </c>
      <c r="B6" s="4">
        <f>'Monthly Tracker'!J17</f>
        <v>0.36181538030536492</v>
      </c>
      <c r="C6" s="7">
        <v>0.32</v>
      </c>
      <c r="D6" s="4">
        <v>0.3</v>
      </c>
      <c r="E6" s="7">
        <v>0.3</v>
      </c>
      <c r="G6" t="s">
        <v>11</v>
      </c>
      <c r="H6" s="8" t="s">
        <v>12</v>
      </c>
    </row>
    <row r="7" spans="1:8" ht="27.6">
      <c r="A7" t="s">
        <v>13</v>
      </c>
      <c r="B7" s="4">
        <f>'Monthly Tracker'!P17</f>
        <v>8.8751926040061629E-2</v>
      </c>
      <c r="C7" s="7">
        <v>9.5000000000000001E-2</v>
      </c>
      <c r="D7" s="4">
        <v>0.1</v>
      </c>
      <c r="E7" s="7">
        <v>0.1</v>
      </c>
      <c r="G7" t="s">
        <v>14</v>
      </c>
      <c r="H7" s="8" t="s">
        <v>15</v>
      </c>
    </row>
    <row r="8" spans="1:8" ht="41.4">
      <c r="A8" t="s">
        <v>16</v>
      </c>
      <c r="B8" s="3">
        <f>'Monthly Tracker'!F17</f>
        <v>45.226480836236931</v>
      </c>
      <c r="C8" s="2"/>
      <c r="D8" s="3"/>
      <c r="E8" s="2"/>
      <c r="G8" t="s">
        <v>17</v>
      </c>
      <c r="H8" s="8" t="s">
        <v>18</v>
      </c>
    </row>
    <row r="9" spans="1:8" ht="27.6">
      <c r="A9" t="s">
        <v>19</v>
      </c>
      <c r="B9" s="3">
        <f>'Monthly Tracker'!K17</f>
        <v>41.457607433217191</v>
      </c>
      <c r="C9" s="2"/>
      <c r="D9" s="3"/>
      <c r="E9" s="2"/>
      <c r="G9" t="s">
        <v>20</v>
      </c>
      <c r="H9" s="8" t="s">
        <v>21</v>
      </c>
    </row>
    <row r="10" spans="1:8">
      <c r="A10" t="s">
        <v>22</v>
      </c>
      <c r="B10" s="6">
        <f>'Monthly Tracker'!Q17</f>
        <v>2.0481213701552683</v>
      </c>
      <c r="C10" s="5"/>
      <c r="D10" s="6"/>
      <c r="E10" s="5"/>
    </row>
    <row r="11" spans="1:8">
      <c r="A11" t="s">
        <v>23</v>
      </c>
      <c r="B11" s="3">
        <f>'Monthly Tracker'!B21</f>
        <v>53.251155624036976</v>
      </c>
      <c r="C11" s="2"/>
      <c r="D11" s="3"/>
      <c r="E11" s="2"/>
    </row>
    <row r="14" spans="1:8" ht="27.6">
      <c r="A14" s="1" t="s">
        <v>24</v>
      </c>
      <c r="B14" s="1" t="s">
        <v>7</v>
      </c>
      <c r="C14" s="1" t="s">
        <v>10</v>
      </c>
      <c r="D14" s="1" t="s">
        <v>13</v>
      </c>
    </row>
    <row r="15" spans="1:8">
      <c r="A15" t="str">
        <f>'Monthly Tracker'!A5</f>
        <v>Jan</v>
      </c>
      <c r="B15" s="4">
        <f>'Monthly Tracker'!E5</f>
        <v>0.24705882352941178</v>
      </c>
      <c r="C15" s="4">
        <f>'Monthly Tracker'!J5</f>
        <v>0.40427807486631012</v>
      </c>
      <c r="D15" s="4">
        <f>'Monthly Tracker'!P5</f>
        <v>0.11294117647058824</v>
      </c>
    </row>
    <row r="16" spans="1:8">
      <c r="A16" t="str">
        <f>'Monthly Tracker'!A6</f>
        <v>Feb</v>
      </c>
      <c r="B16" s="4">
        <f>'Monthly Tracker'!E6</f>
        <v>0.26250000000000001</v>
      </c>
      <c r="C16" s="4">
        <f>'Monthly Tracker'!J6</f>
        <v>0.42954545454545456</v>
      </c>
      <c r="D16" s="4">
        <f>'Monthly Tracker'!P6</f>
        <v>0.12</v>
      </c>
    </row>
    <row r="17" spans="1:4">
      <c r="A17" t="str">
        <f>'Monthly Tracker'!A7</f>
        <v>Mar</v>
      </c>
      <c r="B17" s="4">
        <f>'Monthly Tracker'!E7</f>
        <v>0.22826086956521738</v>
      </c>
      <c r="C17" s="4">
        <f>'Monthly Tracker'!J7</f>
        <v>0.37351778656126478</v>
      </c>
      <c r="D17" s="4">
        <f>'Monthly Tracker'!P7</f>
        <v>0.10434782608695652</v>
      </c>
    </row>
    <row r="18" spans="1:4">
      <c r="A18" t="str">
        <f>'Monthly Tracker'!A8</f>
        <v>Apr</v>
      </c>
      <c r="B18" s="4">
        <f>'Monthly Tracker'!E8</f>
        <v>0.29473684210526313</v>
      </c>
      <c r="C18" s="4">
        <f>'Monthly Tracker'!J8</f>
        <v>0.48229665071770328</v>
      </c>
      <c r="D18" s="4">
        <f>'Monthly Tracker'!P8</f>
        <v>0.10105263157894737</v>
      </c>
    </row>
    <row r="19" spans="1:4">
      <c r="A19" t="str">
        <f>'Monthly Tracker'!A9</f>
        <v>May</v>
      </c>
      <c r="B19" s="4">
        <f>'Monthly Tracker'!E9</f>
        <v>0.25454545454545452</v>
      </c>
      <c r="C19" s="4">
        <f>'Monthly Tracker'!J9</f>
        <v>0.41652892561983468</v>
      </c>
      <c r="D19" s="4">
        <f>'Monthly Tracker'!P9</f>
        <v>8.727272727272728E-2</v>
      </c>
    </row>
    <row r="20" spans="1:4">
      <c r="A20" t="str">
        <f>'Monthly Tracker'!A10</f>
        <v>Jun</v>
      </c>
      <c r="B20" s="4">
        <f>'Monthly Tracker'!E10</f>
        <v>0.224</v>
      </c>
      <c r="C20" s="4">
        <f>'Monthly Tracker'!J10</f>
        <v>0.36654545454545456</v>
      </c>
      <c r="D20" s="4">
        <f>'Monthly Tracker'!P10</f>
        <v>7.6799999999999993E-2</v>
      </c>
    </row>
    <row r="21" spans="1:4">
      <c r="A21" t="str">
        <f>'Monthly Tracker'!A11</f>
        <v>Jul</v>
      </c>
      <c r="B21" s="4">
        <f>'Monthly Tracker'!E11</f>
        <v>0.2</v>
      </c>
      <c r="C21" s="4">
        <f>'Monthly Tracker'!J11</f>
        <v>0.32727272727272727</v>
      </c>
      <c r="D21" s="4">
        <f>'Monthly Tracker'!P11</f>
        <v>6.8571428571428575E-2</v>
      </c>
    </row>
    <row r="22" spans="1:4">
      <c r="A22" t="str">
        <f>'Monthly Tracker'!A12</f>
        <v>Aug</v>
      </c>
      <c r="B22" s="4">
        <f>'Monthly Tracker'!E12</f>
        <v>0.2153846153846154</v>
      </c>
      <c r="C22" s="4">
        <f>'Monthly Tracker'!J12</f>
        <v>0.35244755244755244</v>
      </c>
      <c r="D22" s="4">
        <f>'Monthly Tracker'!P12</f>
        <v>7.3846153846153853E-2</v>
      </c>
    </row>
    <row r="23" spans="1:4">
      <c r="A23" t="str">
        <f>'Monthly Tracker'!A13</f>
        <v>Sep</v>
      </c>
      <c r="B23" s="4">
        <f>'Monthly Tracker'!E13</f>
        <v>0.19090909090909092</v>
      </c>
      <c r="C23" s="4">
        <f>'Monthly Tracker'!J13</f>
        <v>0.31239669421487598</v>
      </c>
      <c r="D23" s="4">
        <f>'Monthly Tracker'!P13</f>
        <v>8.727272727272728E-2</v>
      </c>
    </row>
    <row r="24" spans="1:4">
      <c r="A24" t="str">
        <f>'Monthly Tracker'!A14</f>
        <v>Oct</v>
      </c>
      <c r="B24" s="4">
        <f>'Monthly Tracker'!E14</f>
        <v>0.2</v>
      </c>
      <c r="C24" s="4">
        <f>'Monthly Tracker'!J14</f>
        <v>0.32727272727272722</v>
      </c>
      <c r="D24" s="4">
        <f>'Monthly Tracker'!P14</f>
        <v>9.1428571428571428E-2</v>
      </c>
    </row>
    <row r="25" spans="1:4">
      <c r="A25" t="str">
        <f>'Monthly Tracker'!A15</f>
        <v>Nov</v>
      </c>
      <c r="B25" s="4">
        <f>'Monthly Tracker'!E15</f>
        <v>0.19811320754716982</v>
      </c>
      <c r="C25" s="4">
        <f>'Monthly Tracker'!J15</f>
        <v>0.32418524871355053</v>
      </c>
      <c r="D25" s="4">
        <f>'Monthly Tracker'!P15</f>
        <v>9.056603773584905E-2</v>
      </c>
    </row>
    <row r="26" spans="1:4">
      <c r="A26" t="str">
        <f>'Monthly Tracker'!A16</f>
        <v>Dec</v>
      </c>
      <c r="B26" s="4">
        <f>'Monthly Tracker'!E16</f>
        <v>0.17499999999999999</v>
      </c>
      <c r="C26" s="4">
        <f>'Monthly Tracker'!J16</f>
        <v>0.28636363636363638</v>
      </c>
      <c r="D26" s="4">
        <f>'Monthly Tracker'!P16</f>
        <v>0.08</v>
      </c>
    </row>
  </sheetData>
  <mergeCells count="2">
    <mergeCell ref="A1:H1"/>
    <mergeCell ref="A2:H2"/>
  </mergeCells>
  <conditionalFormatting sqref="B5:B7">
    <cfRule type="expression" dxfId="1" priority="1">
      <formula>B5&gt;E5</formula>
    </cfRule>
    <cfRule type="expression" dxfId="0" priority="2">
      <formula>B5&lt;=E5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1"/>
  <sheetViews>
    <sheetView workbookViewId="0">
      <selection activeCell="N19" sqref="N19"/>
    </sheetView>
  </sheetViews>
  <sheetFormatPr defaultRowHeight="13.8"/>
  <cols>
    <col min="1" max="1" width="21.296875" bestFit="1" customWidth="1"/>
    <col min="2" max="17" width="14" customWidth="1"/>
  </cols>
  <sheetData>
    <row r="1" spans="1:17" ht="21">
      <c r="A1" s="9" t="s">
        <v>25</v>
      </c>
      <c r="B1" s="9"/>
      <c r="C1" s="9"/>
      <c r="D1" s="9"/>
      <c r="E1" s="9"/>
      <c r="F1" s="9"/>
      <c r="G1" s="9"/>
      <c r="H1" s="9"/>
      <c r="I1" s="11"/>
      <c r="J1" s="11"/>
      <c r="K1" s="11"/>
      <c r="L1" s="11"/>
      <c r="M1" s="11"/>
      <c r="N1" s="11"/>
      <c r="O1" s="11"/>
      <c r="P1" s="11"/>
      <c r="Q1" s="11"/>
    </row>
    <row r="2" spans="1:17" ht="14.4">
      <c r="A2" s="10" t="s">
        <v>26</v>
      </c>
      <c r="B2" s="10"/>
      <c r="C2" s="10"/>
      <c r="D2" s="10"/>
      <c r="E2" s="10"/>
      <c r="F2" s="10"/>
      <c r="G2" s="10"/>
      <c r="H2" s="10"/>
      <c r="I2" s="11"/>
      <c r="J2" s="11"/>
      <c r="K2" s="11"/>
      <c r="L2" s="11"/>
      <c r="M2" s="11"/>
      <c r="N2" s="11"/>
      <c r="O2" s="11"/>
      <c r="P2" s="11"/>
      <c r="Q2" s="11"/>
    </row>
    <row r="4" spans="1:17" ht="33.6" customHeight="1">
      <c r="A4" s="1" t="s">
        <v>24</v>
      </c>
      <c r="B4" s="1" t="s">
        <v>27</v>
      </c>
      <c r="C4" s="1" t="s">
        <v>28</v>
      </c>
      <c r="D4" s="1" t="s">
        <v>29</v>
      </c>
      <c r="E4" s="1" t="s">
        <v>7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10</v>
      </c>
      <c r="K4" s="1" t="s">
        <v>19</v>
      </c>
      <c r="L4" s="1" t="s">
        <v>34</v>
      </c>
      <c r="M4" s="1" t="s">
        <v>35</v>
      </c>
      <c r="N4" s="1" t="s">
        <v>36</v>
      </c>
      <c r="O4" s="1" t="s">
        <v>37</v>
      </c>
      <c r="P4" s="1" t="s">
        <v>13</v>
      </c>
      <c r="Q4" s="1" t="s">
        <v>22</v>
      </c>
    </row>
    <row r="5" spans="1:17">
      <c r="A5" t="s">
        <v>38</v>
      </c>
      <c r="B5" s="2">
        <v>85000</v>
      </c>
      <c r="C5" s="5">
        <f>1.5*50*28</f>
        <v>2100</v>
      </c>
      <c r="D5" s="2">
        <f>C5*10</f>
        <v>21000</v>
      </c>
      <c r="E5" s="4">
        <f t="shared" ref="E5:E17" si="0">IFERROR(D5/B5,0)</f>
        <v>0.24705882352941178</v>
      </c>
      <c r="F5" s="3">
        <f t="shared" ref="F5:F17" si="1">IFERROR(B5/C5,0)</f>
        <v>40.476190476190474</v>
      </c>
      <c r="G5" s="2">
        <f>B5*1.1</f>
        <v>93500.000000000015</v>
      </c>
      <c r="H5" s="5">
        <f>C5*1.2</f>
        <v>2520</v>
      </c>
      <c r="I5" s="2">
        <f>H5*15</f>
        <v>37800</v>
      </c>
      <c r="J5" s="4">
        <f t="shared" ref="J5:J17" si="2">IFERROR(I5/G5,0)</f>
        <v>0.40427807486631012</v>
      </c>
      <c r="K5" s="3">
        <f t="shared" ref="K5:K17" si="3">IFERROR(G5/H5,0)</f>
        <v>37.103174603174608</v>
      </c>
      <c r="L5" s="2">
        <f>B5*1.3</f>
        <v>110500</v>
      </c>
      <c r="M5" s="5">
        <f>L5/600</f>
        <v>184.16666666666666</v>
      </c>
      <c r="N5" s="5">
        <f>3*160</f>
        <v>480</v>
      </c>
      <c r="O5" s="2">
        <f>N5*26</f>
        <v>12480</v>
      </c>
      <c r="P5" s="4">
        <f t="shared" ref="P5:P17" si="4">IFERROR(O5/L5,0)</f>
        <v>0.11294117647058824</v>
      </c>
      <c r="Q5" s="6">
        <f t="shared" ref="Q5:Q17" si="5">IFERROR(N5/M5,0)</f>
        <v>2.6063348416289593</v>
      </c>
    </row>
    <row r="6" spans="1:17">
      <c r="A6" t="s">
        <v>39</v>
      </c>
      <c r="B6" s="2">
        <v>80000</v>
      </c>
      <c r="C6" s="5">
        <f t="shared" ref="C6:C16" si="6">1.5*50*28</f>
        <v>2100</v>
      </c>
      <c r="D6" s="2">
        <f t="shared" ref="D6:D16" si="7">C6*10</f>
        <v>21000</v>
      </c>
      <c r="E6" s="4">
        <f t="shared" si="0"/>
        <v>0.26250000000000001</v>
      </c>
      <c r="F6" s="3">
        <f t="shared" si="1"/>
        <v>38.095238095238095</v>
      </c>
      <c r="G6" s="2">
        <f t="shared" ref="G6:G16" si="8">B6*1.1</f>
        <v>88000</v>
      </c>
      <c r="H6" s="5">
        <f t="shared" ref="H6:H16" si="9">C6*1.2</f>
        <v>2520</v>
      </c>
      <c r="I6" s="2">
        <f t="shared" ref="I6:I16" si="10">H6*15</f>
        <v>37800</v>
      </c>
      <c r="J6" s="4">
        <f t="shared" si="2"/>
        <v>0.42954545454545456</v>
      </c>
      <c r="K6" s="3">
        <f t="shared" si="3"/>
        <v>34.920634920634917</v>
      </c>
      <c r="L6" s="2">
        <f t="shared" ref="L6:L16" si="11">B6*1.3</f>
        <v>104000</v>
      </c>
      <c r="M6" s="5">
        <f t="shared" ref="M6:M16" si="12">L6/600</f>
        <v>173.33333333333334</v>
      </c>
      <c r="N6" s="5">
        <f t="shared" ref="N6:N16" si="13">3*160</f>
        <v>480</v>
      </c>
      <c r="O6" s="2">
        <f t="shared" ref="O6:O16" si="14">N6*26</f>
        <v>12480</v>
      </c>
      <c r="P6" s="4">
        <f t="shared" si="4"/>
        <v>0.12</v>
      </c>
      <c r="Q6" s="6">
        <f t="shared" si="5"/>
        <v>2.7692307692307692</v>
      </c>
    </row>
    <row r="7" spans="1:17">
      <c r="A7" t="s">
        <v>40</v>
      </c>
      <c r="B7" s="2">
        <v>92000</v>
      </c>
      <c r="C7" s="5">
        <f t="shared" si="6"/>
        <v>2100</v>
      </c>
      <c r="D7" s="2">
        <f t="shared" si="7"/>
        <v>21000</v>
      </c>
      <c r="E7" s="4">
        <f t="shared" si="0"/>
        <v>0.22826086956521738</v>
      </c>
      <c r="F7" s="3">
        <f t="shared" si="1"/>
        <v>43.80952380952381</v>
      </c>
      <c r="G7" s="2">
        <f t="shared" si="8"/>
        <v>101200.00000000001</v>
      </c>
      <c r="H7" s="5">
        <f t="shared" si="9"/>
        <v>2520</v>
      </c>
      <c r="I7" s="2">
        <f t="shared" si="10"/>
        <v>37800</v>
      </c>
      <c r="J7" s="4">
        <f t="shared" si="2"/>
        <v>0.37351778656126478</v>
      </c>
      <c r="K7" s="3">
        <f t="shared" si="3"/>
        <v>40.158730158730165</v>
      </c>
      <c r="L7" s="2">
        <f t="shared" si="11"/>
        <v>119600</v>
      </c>
      <c r="M7" s="5">
        <f t="shared" si="12"/>
        <v>199.33333333333334</v>
      </c>
      <c r="N7" s="5">
        <f t="shared" si="13"/>
        <v>480</v>
      </c>
      <c r="O7" s="2">
        <f t="shared" si="14"/>
        <v>12480</v>
      </c>
      <c r="P7" s="4">
        <f t="shared" si="4"/>
        <v>0.10434782608695652</v>
      </c>
      <c r="Q7" s="6">
        <f t="shared" si="5"/>
        <v>2.4080267558528425</v>
      </c>
    </row>
    <row r="8" spans="1:17">
      <c r="A8" t="s">
        <v>41</v>
      </c>
      <c r="B8" s="2">
        <v>95000</v>
      </c>
      <c r="C8" s="5">
        <f>2*50*28</f>
        <v>2800</v>
      </c>
      <c r="D8" s="2">
        <f t="shared" si="7"/>
        <v>28000</v>
      </c>
      <c r="E8" s="4">
        <f t="shared" si="0"/>
        <v>0.29473684210526313</v>
      </c>
      <c r="F8" s="3">
        <f t="shared" si="1"/>
        <v>33.928571428571431</v>
      </c>
      <c r="G8" s="2">
        <f t="shared" si="8"/>
        <v>104500.00000000001</v>
      </c>
      <c r="H8" s="5">
        <f t="shared" si="9"/>
        <v>3360</v>
      </c>
      <c r="I8" s="2">
        <f t="shared" si="10"/>
        <v>50400</v>
      </c>
      <c r="J8" s="4">
        <f t="shared" si="2"/>
        <v>0.48229665071770328</v>
      </c>
      <c r="K8" s="3">
        <f t="shared" si="3"/>
        <v>31.101190476190482</v>
      </c>
      <c r="L8" s="2">
        <f t="shared" si="11"/>
        <v>123500</v>
      </c>
      <c r="M8" s="5">
        <f t="shared" si="12"/>
        <v>205.83333333333334</v>
      </c>
      <c r="N8" s="5">
        <f t="shared" si="13"/>
        <v>480</v>
      </c>
      <c r="O8" s="2">
        <f t="shared" si="14"/>
        <v>12480</v>
      </c>
      <c r="P8" s="4">
        <f t="shared" si="4"/>
        <v>0.10105263157894737</v>
      </c>
      <c r="Q8" s="6">
        <f t="shared" si="5"/>
        <v>2.331983805668016</v>
      </c>
    </row>
    <row r="9" spans="1:17">
      <c r="A9" t="s">
        <v>42</v>
      </c>
      <c r="B9" s="2">
        <v>110000</v>
      </c>
      <c r="C9" s="5">
        <f t="shared" ref="C9:C12" si="15">2*50*28</f>
        <v>2800</v>
      </c>
      <c r="D9" s="2">
        <f t="shared" si="7"/>
        <v>28000</v>
      </c>
      <c r="E9" s="4">
        <f t="shared" si="0"/>
        <v>0.25454545454545452</v>
      </c>
      <c r="F9" s="3">
        <f t="shared" si="1"/>
        <v>39.285714285714285</v>
      </c>
      <c r="G9" s="2">
        <f t="shared" si="8"/>
        <v>121000.00000000001</v>
      </c>
      <c r="H9" s="5">
        <f t="shared" si="9"/>
        <v>3360</v>
      </c>
      <c r="I9" s="2">
        <f t="shared" si="10"/>
        <v>50400</v>
      </c>
      <c r="J9" s="4">
        <f t="shared" si="2"/>
        <v>0.41652892561983468</v>
      </c>
      <c r="K9" s="3">
        <f t="shared" si="3"/>
        <v>36.011904761904766</v>
      </c>
      <c r="L9" s="2">
        <f t="shared" si="11"/>
        <v>143000</v>
      </c>
      <c r="M9" s="5">
        <f t="shared" si="12"/>
        <v>238.33333333333334</v>
      </c>
      <c r="N9" s="5">
        <f t="shared" si="13"/>
        <v>480</v>
      </c>
      <c r="O9" s="2">
        <f t="shared" si="14"/>
        <v>12480</v>
      </c>
      <c r="P9" s="4">
        <f t="shared" si="4"/>
        <v>8.727272727272728E-2</v>
      </c>
      <c r="Q9" s="6">
        <f t="shared" si="5"/>
        <v>2.0139860139860137</v>
      </c>
    </row>
    <row r="10" spans="1:17">
      <c r="A10" t="s">
        <v>43</v>
      </c>
      <c r="B10" s="2">
        <v>125000</v>
      </c>
      <c r="C10" s="5">
        <f t="shared" si="15"/>
        <v>2800</v>
      </c>
      <c r="D10" s="2">
        <f t="shared" si="7"/>
        <v>28000</v>
      </c>
      <c r="E10" s="4">
        <f t="shared" si="0"/>
        <v>0.224</v>
      </c>
      <c r="F10" s="3">
        <f t="shared" si="1"/>
        <v>44.642857142857146</v>
      </c>
      <c r="G10" s="2">
        <f t="shared" si="8"/>
        <v>137500</v>
      </c>
      <c r="H10" s="5">
        <f t="shared" si="9"/>
        <v>3360</v>
      </c>
      <c r="I10" s="2">
        <f t="shared" si="10"/>
        <v>50400</v>
      </c>
      <c r="J10" s="4">
        <f t="shared" si="2"/>
        <v>0.36654545454545456</v>
      </c>
      <c r="K10" s="3">
        <f t="shared" si="3"/>
        <v>40.922619047619051</v>
      </c>
      <c r="L10" s="2">
        <f t="shared" si="11"/>
        <v>162500</v>
      </c>
      <c r="M10" s="5">
        <f t="shared" si="12"/>
        <v>270.83333333333331</v>
      </c>
      <c r="N10" s="5">
        <f t="shared" si="13"/>
        <v>480</v>
      </c>
      <c r="O10" s="2">
        <f t="shared" si="14"/>
        <v>12480</v>
      </c>
      <c r="P10" s="4">
        <f t="shared" si="4"/>
        <v>7.6799999999999993E-2</v>
      </c>
      <c r="Q10" s="6">
        <f t="shared" si="5"/>
        <v>1.7723076923076924</v>
      </c>
    </row>
    <row r="11" spans="1:17">
      <c r="A11" t="s">
        <v>44</v>
      </c>
      <c r="B11" s="2">
        <v>140000</v>
      </c>
      <c r="C11" s="5">
        <f t="shared" si="15"/>
        <v>2800</v>
      </c>
      <c r="D11" s="2">
        <f t="shared" si="7"/>
        <v>28000</v>
      </c>
      <c r="E11" s="4">
        <f t="shared" si="0"/>
        <v>0.2</v>
      </c>
      <c r="F11" s="3">
        <f t="shared" si="1"/>
        <v>50</v>
      </c>
      <c r="G11" s="2">
        <f t="shared" si="8"/>
        <v>154000</v>
      </c>
      <c r="H11" s="5">
        <f t="shared" si="9"/>
        <v>3360</v>
      </c>
      <c r="I11" s="2">
        <f t="shared" si="10"/>
        <v>50400</v>
      </c>
      <c r="J11" s="4">
        <f t="shared" si="2"/>
        <v>0.32727272727272727</v>
      </c>
      <c r="K11" s="3">
        <f t="shared" si="3"/>
        <v>45.833333333333336</v>
      </c>
      <c r="L11" s="2">
        <f t="shared" si="11"/>
        <v>182000</v>
      </c>
      <c r="M11" s="5">
        <f t="shared" si="12"/>
        <v>303.33333333333331</v>
      </c>
      <c r="N11" s="5">
        <f t="shared" si="13"/>
        <v>480</v>
      </c>
      <c r="O11" s="2">
        <f t="shared" si="14"/>
        <v>12480</v>
      </c>
      <c r="P11" s="4">
        <f t="shared" si="4"/>
        <v>6.8571428571428575E-2</v>
      </c>
      <c r="Q11" s="6">
        <f t="shared" si="5"/>
        <v>1.5824175824175826</v>
      </c>
    </row>
    <row r="12" spans="1:17">
      <c r="A12" t="s">
        <v>45</v>
      </c>
      <c r="B12" s="2">
        <v>130000</v>
      </c>
      <c r="C12" s="5">
        <f t="shared" si="15"/>
        <v>2800</v>
      </c>
      <c r="D12" s="2">
        <f t="shared" si="7"/>
        <v>28000</v>
      </c>
      <c r="E12" s="4">
        <f t="shared" si="0"/>
        <v>0.2153846153846154</v>
      </c>
      <c r="F12" s="3">
        <f t="shared" si="1"/>
        <v>46.428571428571431</v>
      </c>
      <c r="G12" s="2">
        <f t="shared" si="8"/>
        <v>143000</v>
      </c>
      <c r="H12" s="5">
        <f t="shared" si="9"/>
        <v>3360</v>
      </c>
      <c r="I12" s="2">
        <f t="shared" si="10"/>
        <v>50400</v>
      </c>
      <c r="J12" s="4">
        <f t="shared" si="2"/>
        <v>0.35244755244755244</v>
      </c>
      <c r="K12" s="3">
        <f t="shared" si="3"/>
        <v>42.55952380952381</v>
      </c>
      <c r="L12" s="2">
        <f t="shared" si="11"/>
        <v>169000</v>
      </c>
      <c r="M12" s="5">
        <f t="shared" si="12"/>
        <v>281.66666666666669</v>
      </c>
      <c r="N12" s="5">
        <f t="shared" si="13"/>
        <v>480</v>
      </c>
      <c r="O12" s="2">
        <f t="shared" si="14"/>
        <v>12480</v>
      </c>
      <c r="P12" s="4">
        <f t="shared" si="4"/>
        <v>7.3846153846153853E-2</v>
      </c>
      <c r="Q12" s="6">
        <f t="shared" si="5"/>
        <v>1.7041420118343193</v>
      </c>
    </row>
    <row r="13" spans="1:17">
      <c r="A13" t="s">
        <v>46</v>
      </c>
      <c r="B13" s="2">
        <v>110000</v>
      </c>
      <c r="C13" s="5">
        <f t="shared" si="6"/>
        <v>2100</v>
      </c>
      <c r="D13" s="2">
        <f t="shared" si="7"/>
        <v>21000</v>
      </c>
      <c r="E13" s="4">
        <f t="shared" si="0"/>
        <v>0.19090909090909092</v>
      </c>
      <c r="F13" s="3">
        <f t="shared" si="1"/>
        <v>52.38095238095238</v>
      </c>
      <c r="G13" s="2">
        <f t="shared" si="8"/>
        <v>121000.00000000001</v>
      </c>
      <c r="H13" s="5">
        <f t="shared" si="9"/>
        <v>2520</v>
      </c>
      <c r="I13" s="2">
        <f t="shared" si="10"/>
        <v>37800</v>
      </c>
      <c r="J13" s="4">
        <f t="shared" si="2"/>
        <v>0.31239669421487598</v>
      </c>
      <c r="K13" s="3">
        <f t="shared" si="3"/>
        <v>48.015873015873019</v>
      </c>
      <c r="L13" s="2">
        <f t="shared" si="11"/>
        <v>143000</v>
      </c>
      <c r="M13" s="5">
        <f t="shared" si="12"/>
        <v>238.33333333333334</v>
      </c>
      <c r="N13" s="5">
        <f t="shared" si="13"/>
        <v>480</v>
      </c>
      <c r="O13" s="2">
        <f t="shared" si="14"/>
        <v>12480</v>
      </c>
      <c r="P13" s="4">
        <f t="shared" si="4"/>
        <v>8.727272727272728E-2</v>
      </c>
      <c r="Q13" s="6">
        <f t="shared" si="5"/>
        <v>2.0139860139860137</v>
      </c>
    </row>
    <row r="14" spans="1:17">
      <c r="A14" t="s">
        <v>47</v>
      </c>
      <c r="B14" s="2">
        <v>105000</v>
      </c>
      <c r="C14" s="5">
        <f t="shared" si="6"/>
        <v>2100</v>
      </c>
      <c r="D14" s="2">
        <f t="shared" si="7"/>
        <v>21000</v>
      </c>
      <c r="E14" s="4">
        <f t="shared" si="0"/>
        <v>0.2</v>
      </c>
      <c r="F14" s="3">
        <f t="shared" si="1"/>
        <v>50</v>
      </c>
      <c r="G14" s="2">
        <f t="shared" si="8"/>
        <v>115500.00000000001</v>
      </c>
      <c r="H14" s="5">
        <f t="shared" si="9"/>
        <v>2520</v>
      </c>
      <c r="I14" s="2">
        <f t="shared" si="10"/>
        <v>37800</v>
      </c>
      <c r="J14" s="4">
        <f t="shared" si="2"/>
        <v>0.32727272727272722</v>
      </c>
      <c r="K14" s="3">
        <f t="shared" si="3"/>
        <v>45.833333333333336</v>
      </c>
      <c r="L14" s="2">
        <f t="shared" si="11"/>
        <v>136500</v>
      </c>
      <c r="M14" s="5">
        <f t="shared" si="12"/>
        <v>227.5</v>
      </c>
      <c r="N14" s="5">
        <f t="shared" si="13"/>
        <v>480</v>
      </c>
      <c r="O14" s="2">
        <f t="shared" si="14"/>
        <v>12480</v>
      </c>
      <c r="P14" s="4">
        <f t="shared" si="4"/>
        <v>9.1428571428571428E-2</v>
      </c>
      <c r="Q14" s="6">
        <f t="shared" si="5"/>
        <v>2.1098901098901099</v>
      </c>
    </row>
    <row r="15" spans="1:17">
      <c r="A15" t="s">
        <v>48</v>
      </c>
      <c r="B15" s="2">
        <v>106000</v>
      </c>
      <c r="C15" s="5">
        <f t="shared" si="6"/>
        <v>2100</v>
      </c>
      <c r="D15" s="2">
        <f t="shared" si="7"/>
        <v>21000</v>
      </c>
      <c r="E15" s="4">
        <f t="shared" si="0"/>
        <v>0.19811320754716982</v>
      </c>
      <c r="F15" s="3">
        <f t="shared" si="1"/>
        <v>50.476190476190474</v>
      </c>
      <c r="G15" s="2">
        <f t="shared" si="8"/>
        <v>116600.00000000001</v>
      </c>
      <c r="H15" s="5">
        <f t="shared" si="9"/>
        <v>2520</v>
      </c>
      <c r="I15" s="2">
        <f t="shared" si="10"/>
        <v>37800</v>
      </c>
      <c r="J15" s="4">
        <f t="shared" si="2"/>
        <v>0.32418524871355053</v>
      </c>
      <c r="K15" s="3">
        <f t="shared" si="3"/>
        <v>46.269841269841272</v>
      </c>
      <c r="L15" s="2">
        <f t="shared" si="11"/>
        <v>137800</v>
      </c>
      <c r="M15" s="5">
        <f t="shared" si="12"/>
        <v>229.66666666666666</v>
      </c>
      <c r="N15" s="5">
        <f t="shared" si="13"/>
        <v>480</v>
      </c>
      <c r="O15" s="2">
        <f t="shared" si="14"/>
        <v>12480</v>
      </c>
      <c r="P15" s="4">
        <f t="shared" si="4"/>
        <v>9.056603773584905E-2</v>
      </c>
      <c r="Q15" s="6">
        <f t="shared" si="5"/>
        <v>2.0899854862119014</v>
      </c>
    </row>
    <row r="16" spans="1:17">
      <c r="A16" t="s">
        <v>49</v>
      </c>
      <c r="B16" s="2">
        <v>120000</v>
      </c>
      <c r="C16" s="5">
        <f t="shared" si="6"/>
        <v>2100</v>
      </c>
      <c r="D16" s="2">
        <f t="shared" si="7"/>
        <v>21000</v>
      </c>
      <c r="E16" s="4">
        <f t="shared" si="0"/>
        <v>0.17499999999999999</v>
      </c>
      <c r="F16" s="3">
        <f t="shared" si="1"/>
        <v>57.142857142857146</v>
      </c>
      <c r="G16" s="2">
        <f t="shared" si="8"/>
        <v>132000</v>
      </c>
      <c r="H16" s="5">
        <f t="shared" si="9"/>
        <v>2520</v>
      </c>
      <c r="I16" s="2">
        <f t="shared" si="10"/>
        <v>37800</v>
      </c>
      <c r="J16" s="4">
        <f t="shared" si="2"/>
        <v>0.28636363636363638</v>
      </c>
      <c r="K16" s="3">
        <f t="shared" si="3"/>
        <v>52.38095238095238</v>
      </c>
      <c r="L16" s="2">
        <f t="shared" si="11"/>
        <v>156000</v>
      </c>
      <c r="M16" s="5">
        <f t="shared" si="12"/>
        <v>260</v>
      </c>
      <c r="N16" s="5">
        <f t="shared" si="13"/>
        <v>480</v>
      </c>
      <c r="O16" s="2">
        <f t="shared" si="14"/>
        <v>12480</v>
      </c>
      <c r="P16" s="4">
        <f t="shared" si="4"/>
        <v>0.08</v>
      </c>
      <c r="Q16" s="6">
        <f t="shared" si="5"/>
        <v>1.8461538461538463</v>
      </c>
    </row>
    <row r="17" spans="1:17">
      <c r="A17" t="s">
        <v>50</v>
      </c>
      <c r="B17" s="3">
        <f>SUM(B5:B16)</f>
        <v>1298000</v>
      </c>
      <c r="C17" s="6">
        <f>SUM(C5:C16)</f>
        <v>28700</v>
      </c>
      <c r="D17" s="3">
        <f>SUM(D5:D16)</f>
        <v>287000</v>
      </c>
      <c r="E17" s="4">
        <f t="shared" si="0"/>
        <v>0.22110939907550076</v>
      </c>
      <c r="F17" s="3">
        <f t="shared" si="1"/>
        <v>45.226480836236931</v>
      </c>
      <c r="G17" s="3">
        <f>SUM(G5:G16)</f>
        <v>1427800</v>
      </c>
      <c r="H17" s="6">
        <f>SUM(H5:H16)</f>
        <v>34440</v>
      </c>
      <c r="I17" s="3">
        <f>SUM(I5:I16)</f>
        <v>516600</v>
      </c>
      <c r="J17" s="4">
        <f t="shared" si="2"/>
        <v>0.36181538030536492</v>
      </c>
      <c r="K17" s="3">
        <f t="shared" si="3"/>
        <v>41.457607433217191</v>
      </c>
      <c r="L17" s="3">
        <f>SUM(L5:L16)</f>
        <v>1687400</v>
      </c>
      <c r="M17" s="6">
        <f>SUM(M5:M16)</f>
        <v>2812.3333333333335</v>
      </c>
      <c r="N17" s="6">
        <f>SUM(N5:N16)</f>
        <v>5760</v>
      </c>
      <c r="O17" s="3">
        <f>SUM(O5:O16)</f>
        <v>149760</v>
      </c>
      <c r="P17" s="4">
        <f t="shared" si="4"/>
        <v>8.8751926040061629E-2</v>
      </c>
      <c r="Q17" s="6">
        <f t="shared" si="5"/>
        <v>2.0481213701552683</v>
      </c>
    </row>
    <row r="20" spans="1:17" ht="27.6">
      <c r="A20" s="1" t="s">
        <v>51</v>
      </c>
      <c r="B20" s="1" t="s">
        <v>1</v>
      </c>
      <c r="C20" s="1" t="s">
        <v>2</v>
      </c>
      <c r="D20" s="1" t="s">
        <v>4</v>
      </c>
    </row>
    <row r="21" spans="1:17">
      <c r="A21" t="s">
        <v>52</v>
      </c>
      <c r="B21" s="3">
        <f>IFERROR(O17/M17,0)</f>
        <v>53.251155624036976</v>
      </c>
      <c r="C21" s="2">
        <v>45</v>
      </c>
      <c r="D21" s="2">
        <v>40</v>
      </c>
    </row>
  </sheetData>
  <mergeCells count="2">
    <mergeCell ref="A1:Q1"/>
    <mergeCell ref="A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workbookViewId="0">
      <selection activeCell="C7" sqref="C7"/>
    </sheetView>
  </sheetViews>
  <sheetFormatPr defaultRowHeight="13.8"/>
  <cols>
    <col min="1" max="1" width="26" customWidth="1"/>
    <col min="2" max="5" width="18" customWidth="1"/>
    <col min="6" max="6" width="48" customWidth="1"/>
    <col min="7" max="7" width="30" customWidth="1"/>
    <col min="8" max="8" width="48" customWidth="1"/>
  </cols>
  <sheetData>
    <row r="1" spans="1:8" ht="21">
      <c r="A1" s="9" t="s">
        <v>53</v>
      </c>
      <c r="B1" s="9"/>
      <c r="C1" s="9"/>
      <c r="D1" s="9"/>
      <c r="E1" s="9"/>
      <c r="F1" s="9"/>
      <c r="G1" s="9"/>
      <c r="H1" s="9"/>
    </row>
    <row r="2" spans="1:8" ht="14.4">
      <c r="A2" s="10" t="s">
        <v>104</v>
      </c>
      <c r="B2" s="10"/>
      <c r="C2" s="10"/>
      <c r="D2" s="10"/>
      <c r="E2" s="10"/>
      <c r="F2" s="10"/>
      <c r="G2" s="10"/>
      <c r="H2" s="10"/>
    </row>
    <row r="4" spans="1:8" ht="27.6">
      <c r="A4" s="1" t="s">
        <v>54</v>
      </c>
      <c r="B4" s="1" t="s">
        <v>55</v>
      </c>
      <c r="C4" s="1" t="s">
        <v>56</v>
      </c>
      <c r="D4" s="1" t="s">
        <v>57</v>
      </c>
      <c r="E4" s="1" t="s">
        <v>58</v>
      </c>
      <c r="F4" s="1" t="s">
        <v>59</v>
      </c>
      <c r="G4" s="1" t="s">
        <v>60</v>
      </c>
      <c r="H4" s="1" t="s">
        <v>61</v>
      </c>
    </row>
    <row r="5" spans="1:8" ht="41.4">
      <c r="A5" s="8" t="s">
        <v>62</v>
      </c>
      <c r="B5" s="8" t="s">
        <v>63</v>
      </c>
      <c r="C5" s="8" t="s">
        <v>64</v>
      </c>
      <c r="D5" s="8" t="s">
        <v>65</v>
      </c>
      <c r="E5" s="8" t="s">
        <v>66</v>
      </c>
      <c r="F5" s="8" t="s">
        <v>67</v>
      </c>
      <c r="G5" s="8" t="s">
        <v>68</v>
      </c>
      <c r="H5" s="8" t="s">
        <v>69</v>
      </c>
    </row>
    <row r="6" spans="1:8" ht="55.2">
      <c r="A6" s="8" t="s">
        <v>70</v>
      </c>
      <c r="B6" s="8" t="s">
        <v>71</v>
      </c>
      <c r="C6" s="8" t="s">
        <v>72</v>
      </c>
      <c r="D6" s="8" t="s">
        <v>73</v>
      </c>
      <c r="E6" s="8" t="s">
        <v>74</v>
      </c>
      <c r="F6" s="8" t="s">
        <v>75</v>
      </c>
      <c r="G6" s="8" t="s">
        <v>76</v>
      </c>
      <c r="H6" s="8" t="s">
        <v>77</v>
      </c>
    </row>
    <row r="7" spans="1:8" ht="41.4">
      <c r="A7" s="8" t="s">
        <v>78</v>
      </c>
      <c r="B7" s="8" t="s">
        <v>79</v>
      </c>
      <c r="C7" s="8" t="s">
        <v>80</v>
      </c>
      <c r="D7" s="8" t="s">
        <v>81</v>
      </c>
      <c r="E7" s="8" t="s">
        <v>82</v>
      </c>
      <c r="F7" s="8" t="s">
        <v>83</v>
      </c>
      <c r="G7" s="8" t="s">
        <v>84</v>
      </c>
      <c r="H7" s="8" t="s">
        <v>85</v>
      </c>
    </row>
    <row r="8" spans="1:8" ht="27.6">
      <c r="A8" s="8" t="s">
        <v>86</v>
      </c>
      <c r="B8" s="8" t="s">
        <v>87</v>
      </c>
      <c r="C8" s="8" t="s">
        <v>88</v>
      </c>
      <c r="D8" s="8" t="s">
        <v>89</v>
      </c>
      <c r="E8" s="8" t="s">
        <v>90</v>
      </c>
      <c r="F8" s="8" t="s">
        <v>91</v>
      </c>
      <c r="G8" s="8" t="s">
        <v>92</v>
      </c>
      <c r="H8" s="8"/>
    </row>
    <row r="9" spans="1:8" ht="27.6">
      <c r="A9" s="8" t="s">
        <v>93</v>
      </c>
      <c r="B9" s="8" t="s">
        <v>87</v>
      </c>
      <c r="C9" s="8" t="s">
        <v>88</v>
      </c>
      <c r="D9" s="8" t="s">
        <v>94</v>
      </c>
      <c r="E9" s="8" t="s">
        <v>90</v>
      </c>
      <c r="F9" s="8" t="s">
        <v>95</v>
      </c>
      <c r="G9" s="8" t="s">
        <v>92</v>
      </c>
      <c r="H9" s="8"/>
    </row>
    <row r="10" spans="1:8" ht="27.6">
      <c r="A10" s="8" t="s">
        <v>96</v>
      </c>
      <c r="B10" s="8" t="s">
        <v>97</v>
      </c>
      <c r="C10" s="8" t="s">
        <v>98</v>
      </c>
      <c r="D10" s="8" t="s">
        <v>99</v>
      </c>
      <c r="E10" s="8" t="s">
        <v>90</v>
      </c>
      <c r="F10" s="8" t="s">
        <v>100</v>
      </c>
      <c r="G10" s="8" t="s">
        <v>92</v>
      </c>
      <c r="H10" s="8"/>
    </row>
    <row r="11" spans="1:8" ht="27.6">
      <c r="A11" s="8" t="s">
        <v>101</v>
      </c>
      <c r="B11" s="8" t="s">
        <v>97</v>
      </c>
      <c r="C11" s="8" t="s">
        <v>98</v>
      </c>
      <c r="D11" s="8" t="s">
        <v>99</v>
      </c>
      <c r="E11" s="8" t="s">
        <v>90</v>
      </c>
      <c r="F11" s="8" t="s">
        <v>102</v>
      </c>
      <c r="G11" s="8" t="s">
        <v>92</v>
      </c>
      <c r="H11" s="8"/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Dashboard</vt:lpstr>
      <vt:lpstr>Monthly Tracker</vt:lpstr>
      <vt:lpstr>Benchmarks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Kary Shumway</cp:lastModifiedBy>
  <dcterms:created xsi:type="dcterms:W3CDTF">2026-08-31T18:58:31Z</dcterms:created>
  <dcterms:modified xsi:type="dcterms:W3CDTF">2026-08-31T19:51:31Z</dcterms:modified>
</cp:coreProperties>
</file>